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els\Desktop\"/>
    </mc:Choice>
  </mc:AlternateContent>
  <bookViews>
    <workbookView xWindow="-120" yWindow="-120" windowWidth="29040" windowHeight="15840" firstSheet="2" activeTab="2"/>
  </bookViews>
  <sheets>
    <sheet name="גיליון1" sheetId="1" state="hidden" r:id="rId1"/>
    <sheet name="גיליון2" sheetId="2" state="hidden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4" l="1"/>
  <c r="C26" i="4" s="1"/>
  <c r="C27" i="4" l="1"/>
  <c r="C29" i="4" s="1"/>
  <c r="D28" i="1"/>
  <c r="D27" i="1"/>
  <c r="D26" i="1"/>
  <c r="D25" i="1"/>
  <c r="D24" i="1"/>
  <c r="D23" i="1"/>
  <c r="E28" i="1"/>
  <c r="E27" i="1"/>
  <c r="E26" i="1"/>
  <c r="E25" i="1"/>
  <c r="E24" i="1"/>
  <c r="E23" i="1"/>
  <c r="F28" i="1"/>
  <c r="F27" i="1"/>
  <c r="F26" i="1"/>
  <c r="F25" i="1"/>
  <c r="F24" i="1"/>
  <c r="F23" i="1"/>
  <c r="G28" i="1"/>
  <c r="G27" i="1"/>
  <c r="G26" i="1"/>
  <c r="G25" i="1"/>
  <c r="G24" i="1"/>
  <c r="G23" i="1"/>
  <c r="C27" i="1"/>
  <c r="C26" i="1"/>
  <c r="C25" i="1"/>
  <c r="C24" i="1"/>
  <c r="C23" i="1"/>
  <c r="C22" i="1"/>
  <c r="C21" i="1"/>
  <c r="C20" i="1"/>
  <c r="F5" i="1"/>
  <c r="E33" i="1"/>
  <c r="I36" i="1"/>
  <c r="I35" i="1"/>
  <c r="I34" i="1"/>
  <c r="I33" i="1"/>
  <c r="C32" i="1"/>
  <c r="C39" i="1"/>
  <c r="F32" i="1"/>
  <c r="F39" i="1"/>
  <c r="D42" i="1"/>
  <c r="D41" i="1"/>
  <c r="D40" i="1"/>
  <c r="D39" i="1"/>
  <c r="D38" i="1"/>
  <c r="D37" i="1"/>
  <c r="D36" i="1"/>
  <c r="D35" i="1"/>
  <c r="D33" i="1"/>
  <c r="D34" i="1"/>
  <c r="E42" i="1"/>
  <c r="E41" i="1"/>
  <c r="E40" i="1"/>
  <c r="E39" i="1"/>
  <c r="E38" i="1"/>
  <c r="E37" i="1"/>
  <c r="E36" i="1"/>
  <c r="E35" i="1"/>
  <c r="E34" i="1"/>
  <c r="F40" i="1"/>
  <c r="F38" i="1"/>
  <c r="F37" i="1"/>
  <c r="F36" i="1"/>
  <c r="F35" i="1"/>
  <c r="F34" i="1"/>
  <c r="G42" i="1"/>
  <c r="G41" i="1"/>
  <c r="G40" i="1"/>
  <c r="G39" i="1"/>
  <c r="G38" i="1"/>
  <c r="G37" i="1"/>
  <c r="G36" i="1"/>
  <c r="G35" i="1"/>
  <c r="G34" i="1"/>
  <c r="H34" i="1"/>
  <c r="H42" i="1"/>
  <c r="H41" i="1"/>
  <c r="H40" i="1"/>
  <c r="H39" i="1"/>
  <c r="H38" i="1"/>
  <c r="H35" i="1"/>
  <c r="H33" i="1"/>
  <c r="D32" i="1"/>
  <c r="E32" i="1"/>
  <c r="G32" i="1"/>
  <c r="I15" i="2"/>
  <c r="H15" i="2"/>
  <c r="G15" i="2"/>
  <c r="F15" i="2"/>
  <c r="E15" i="2"/>
  <c r="J13" i="2"/>
  <c r="J12" i="2"/>
  <c r="J11" i="2"/>
  <c r="J10" i="2"/>
  <c r="J9" i="2"/>
  <c r="J8" i="2"/>
  <c r="F22" i="1"/>
  <c r="E22" i="1"/>
  <c r="D22" i="1"/>
  <c r="G22" i="1"/>
  <c r="F21" i="1"/>
  <c r="E21" i="1"/>
  <c r="D21" i="1"/>
  <c r="G21" i="1"/>
  <c r="F20" i="1"/>
  <c r="E20" i="1"/>
  <c r="D20" i="1"/>
  <c r="G20" i="1"/>
  <c r="H19" i="1"/>
  <c r="H20" i="1"/>
  <c r="H21" i="1"/>
  <c r="H24" i="1"/>
  <c r="F10" i="1"/>
  <c r="H10" i="1"/>
  <c r="I10" i="1"/>
  <c r="F9" i="1"/>
  <c r="H9" i="1"/>
  <c r="I9" i="1"/>
  <c r="F8" i="1"/>
  <c r="H8" i="1"/>
  <c r="I8" i="1"/>
  <c r="F7" i="1"/>
  <c r="H7" i="1"/>
  <c r="I7" i="1"/>
  <c r="F6" i="1"/>
  <c r="H6" i="1"/>
  <c r="I6" i="1"/>
  <c r="E5" i="1"/>
  <c r="E4" i="1"/>
  <c r="F4" i="1"/>
  <c r="C12" i="1"/>
  <c r="D10" i="1"/>
  <c r="H25" i="1"/>
  <c r="H26" i="1"/>
  <c r="H27" i="1"/>
  <c r="H28" i="1"/>
  <c r="I42" i="1"/>
  <c r="I38" i="1"/>
  <c r="H5" i="1"/>
  <c r="I5" i="1"/>
  <c r="C36" i="1"/>
  <c r="C40" i="1"/>
  <c r="C34" i="1"/>
  <c r="C37" i="1"/>
  <c r="C41" i="1"/>
  <c r="C33" i="1"/>
  <c r="C38" i="1"/>
  <c r="C42" i="1"/>
  <c r="C35" i="1"/>
  <c r="F41" i="1"/>
  <c r="F42" i="1"/>
  <c r="F33" i="1"/>
  <c r="H36" i="1"/>
  <c r="G33" i="1"/>
  <c r="H22" i="1"/>
  <c r="H23" i="1"/>
  <c r="D7" i="1"/>
  <c r="D11" i="1"/>
  <c r="D4" i="1"/>
  <c r="D8" i="1"/>
  <c r="D5" i="1"/>
  <c r="D9" i="1"/>
  <c r="D6" i="1"/>
  <c r="I41" i="1"/>
  <c r="I39" i="1"/>
  <c r="I37" i="1"/>
  <c r="I40" i="1"/>
  <c r="H37" i="1"/>
  <c r="H44" i="1"/>
  <c r="D12" i="1"/>
  <c r="I44" i="1"/>
</calcChain>
</file>

<file path=xl/comments1.xml><?xml version="1.0" encoding="utf-8"?>
<comments xmlns="http://schemas.openxmlformats.org/spreadsheetml/2006/main">
  <authors>
    <author>tc={9DACF6BA-AF10-4EB2-827D-F1AEF210C22A}</author>
    <author>tc={273BE282-3FE6-489D-B57E-BF142BCC31EE}</author>
  </authors>
  <commentList>
    <comment ref="B1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אם עסקך החל את פעילותו לאחר ה-1 בינואר 2019 יש לחשב את סך המחזור מתחילת החודש העוקב שלאחר יום פתיחת החודש עד ליום ה-31 בדצמבר 2019.
יש לחלק את הסכום במספר חודשי הפעילות ולהכפיל ב-12</t>
        </r>
      </text>
    </comment>
    <comment ref="B2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אם עסקך החל את פעילותו לאחר ה-1 במרץ 2019 יש לחשב את סך המחזור מתחילת החודש העוקב שלאחר יום פתיחת החודש עד ליום ה-29 בפברואר 2020.
יש לחלק את הסכום במספר חודשי הפעילות ולהכפיל ב-2</t>
        </r>
      </text>
    </comment>
  </commentList>
</comments>
</file>

<file path=xl/sharedStrings.xml><?xml version="1.0" encoding="utf-8"?>
<sst xmlns="http://schemas.openxmlformats.org/spreadsheetml/2006/main" count="115" uniqueCount="83">
  <si>
    <t>מחזור</t>
  </si>
  <si>
    <t>מספר עוסקים</t>
  </si>
  <si>
    <t>חלק יחסי</t>
  </si>
  <si>
    <t>מחזור (₪)</t>
  </si>
  <si>
    <t>סה"כ</t>
  </si>
  <si>
    <t>1 - 100,000</t>
  </si>
  <si>
    <t>100,001 - 500,000</t>
  </si>
  <si>
    <t>500,001 - 1,000,000</t>
  </si>
  <si>
    <t>1,000,001 - 1,500,000</t>
  </si>
  <si>
    <t>1,500,001 - 5,000,000</t>
  </si>
  <si>
    <t>5,000,001 - 50,000,000</t>
  </si>
  <si>
    <t>50,000,001+</t>
  </si>
  <si>
    <t>התפלגות מחזורי מע"מ - עוסקים 2020</t>
  </si>
  <si>
    <t>פרמטרים למענק</t>
  </si>
  <si>
    <t>מינימום מחזור</t>
  </si>
  <si>
    <t>מקסימום מחזור</t>
  </si>
  <si>
    <t>מינימום פגיעה במחזור</t>
  </si>
  <si>
    <t>18,000-100,000</t>
  </si>
  <si>
    <t>סכום מענק (₪)</t>
  </si>
  <si>
    <t>100,001-200,000</t>
  </si>
  <si>
    <t>מחזור 2019</t>
  </si>
  <si>
    <t>200,001-300,000</t>
  </si>
  <si>
    <t>חישוב מענק לעוסקים עד 300,000</t>
  </si>
  <si>
    <t>התניות</t>
  </si>
  <si>
    <t>מענק מקסימלי</t>
  </si>
  <si>
    <t>מקדם השתתפות בהוצאות קבועות מקסימלי</t>
  </si>
  <si>
    <t>מחזור ממוצע</t>
  </si>
  <si>
    <t>קבוע לחישוב מקדם הוצאות קבועות</t>
  </si>
  <si>
    <t>תשומות שוטפות 19</t>
  </si>
  <si>
    <t>מקדם הוצאות קבועות</t>
  </si>
  <si>
    <t>מקדם השתתפות בהוצאות קבועות</t>
  </si>
  <si>
    <t>ערך מוסף לפי ענפים</t>
  </si>
  <si>
    <t>ענף</t>
  </si>
  <si>
    <t>חציוני</t>
  </si>
  <si>
    <t>ממוצע</t>
  </si>
  <si>
    <t>מסחר</t>
  </si>
  <si>
    <t>תעשייה</t>
  </si>
  <si>
    <t>אחר</t>
  </si>
  <si>
    <t>שכר שנחסך 19</t>
  </si>
  <si>
    <t>25%-40%</t>
  </si>
  <si>
    <t>41%-60%</t>
  </si>
  <si>
    <t>61%-80%</t>
  </si>
  <si>
    <t>81%-</t>
  </si>
  <si>
    <t>100,001 - 200,000</t>
  </si>
  <si>
    <t>200,001 - 300,000</t>
  </si>
  <si>
    <t>300,001 - 500,000</t>
  </si>
  <si>
    <t>סכום פיצוי לעוסק (₪)</t>
  </si>
  <si>
    <t>שיעור פגיעה במחזור</t>
  </si>
  <si>
    <t>מקדם פיצויים לפי שיעור פגיעה במחזור</t>
  </si>
  <si>
    <t>מידת פגיעה בפדיון העסק</t>
  </si>
  <si>
    <t>אין פגיעה</t>
  </si>
  <si>
    <t>עד 25%</t>
  </si>
  <si>
    <t>26%-50%</t>
  </si>
  <si>
    <t>51%-75%</t>
  </si>
  <si>
    <t>76%-100%</t>
  </si>
  <si>
    <t>סה"כ שנפגעו</t>
  </si>
  <si>
    <t>תעשייה מסורתית</t>
  </si>
  <si>
    <t>הייטק</t>
  </si>
  <si>
    <t>פיננסיים</t>
  </si>
  <si>
    <t>מסחר קמעונאי</t>
  </si>
  <si>
    <t>בינוי</t>
  </si>
  <si>
    <t>שירותים מקצועיים, שירותי תחבורה, דואר וכו</t>
  </si>
  <si>
    <t>https://www.cbs.gov.il/he/mediarelease/doclib/2020/099/29_20_099t2.pdf</t>
  </si>
  <si>
    <t>סה"כ פיצוי (מיליוני ₪)</t>
  </si>
  <si>
    <t>חישוב סכום פיצוי לעוסק (₪)</t>
  </si>
  <si>
    <t>חלוקת עוסקים לפי שיעור פגיעה וחישוב סך פיצויים - הערכה</t>
  </si>
  <si>
    <t>פגיעה במחזור</t>
  </si>
  <si>
    <t>עוסקים לפי  פגיעה</t>
  </si>
  <si>
    <t>מחזור חודשי ממוצע</t>
  </si>
  <si>
    <t>מרץ</t>
  </si>
  <si>
    <t>אפריל</t>
  </si>
  <si>
    <t>מקדם תקופת השבתה</t>
  </si>
  <si>
    <t>מחזור מרץ-אפריל 2019</t>
  </si>
  <si>
    <t>מענק</t>
  </si>
  <si>
    <t>מחזור מרץ-אפריל 2020</t>
  </si>
  <si>
    <t>תשומות שוטפות 2019 (למעט תשומות ציוד)</t>
  </si>
  <si>
    <t>הוצאות שכר נחסכות מרץ-אפריל 2020 (עובדים שפוטרו או הוצאו לחל"ת)</t>
  </si>
  <si>
    <t>שיעור ירידת מחזור</t>
  </si>
  <si>
    <t>מכפלה</t>
  </si>
  <si>
    <t>חישוב סכום מענק (להסתרה)</t>
  </si>
  <si>
    <t>נא למלא את התאים בטבלה (מסומנים ברקע תכלת)</t>
  </si>
  <si>
    <t>סכום מענק :</t>
  </si>
  <si>
    <t>סכום בש"ח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</si>
</sst>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.00_-;\-&quot;₪&quot;* #,##0.00_-;_-&quot;₪&quot;* &quot;-&quot;??_-;_-@_-"/>
    <numFmt numFmtId="165" formatCode="0.0%"/>
    <numFmt numFmtId="166" formatCode="_ * #,##0.0_ ;_ * \-#,##0.0_ ;_ * &quot;-&quot;??_ ;_ @_ "/>
    <numFmt numFmtId="167" formatCode="_ * #,##0_ ;_ * \-#,##0_ ;_ * &quot;-&quot;??_ ;_ @_ "/>
    <numFmt numFmtId="168" formatCode="_-&quot;₪&quot;* #,##0_-;\-&quot;₪&quot;* #,##0_-;_-&quot;₪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9" fontId="0" fillId="0" borderId="0" xfId="0" applyNumberFormat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9" fontId="0" fillId="0" borderId="6" xfId="0" applyNumberFormat="1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9" fontId="0" fillId="0" borderId="0" xfId="0" applyNumberFormat="1" applyBorder="1"/>
    <xf numFmtId="9" fontId="0" fillId="0" borderId="4" xfId="0" applyNumberFormat="1" applyBorder="1"/>
    <xf numFmtId="0" fontId="3" fillId="0" borderId="5" xfId="0" applyFont="1" applyBorder="1"/>
    <xf numFmtId="9" fontId="0" fillId="0" borderId="8" xfId="0" applyNumberFormat="1" applyBorder="1"/>
    <xf numFmtId="0" fontId="0" fillId="0" borderId="0" xfId="0" applyAlignment="1"/>
    <xf numFmtId="0" fontId="0" fillId="0" borderId="1" xfId="0" applyBorder="1"/>
    <xf numFmtId="0" fontId="0" fillId="0" borderId="7" xfId="0" applyBorder="1"/>
    <xf numFmtId="0" fontId="0" fillId="0" borderId="0" xfId="0" applyBorder="1"/>
    <xf numFmtId="0" fontId="0" fillId="0" borderId="3" xfId="0" applyBorder="1" applyAlignment="1">
      <alignment horizontal="right" readingOrder="2"/>
    </xf>
    <xf numFmtId="3" fontId="0" fillId="0" borderId="0" xfId="0" applyNumberFormat="1" applyBorder="1"/>
    <xf numFmtId="0" fontId="0" fillId="0" borderId="5" xfId="0" applyBorder="1" applyAlignment="1">
      <alignment horizontal="right" readingOrder="2"/>
    </xf>
    <xf numFmtId="0" fontId="0" fillId="0" borderId="8" xfId="0" applyBorder="1"/>
    <xf numFmtId="0" fontId="0" fillId="0" borderId="6" xfId="0" applyBorder="1"/>
    <xf numFmtId="0" fontId="2" fillId="0" borderId="0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0" fontId="0" fillId="0" borderId="0" xfId="0" applyNumberFormat="1"/>
    <xf numFmtId="10" fontId="5" fillId="0" borderId="0" xfId="0" applyNumberFormat="1" applyFont="1"/>
    <xf numFmtId="0" fontId="4" fillId="0" borderId="0" xfId="3" applyAlignment="1"/>
    <xf numFmtId="165" fontId="0" fillId="0" borderId="0" xfId="2" applyNumberFormat="1" applyFont="1" applyBorder="1"/>
    <xf numFmtId="167" fontId="0" fillId="0" borderId="0" xfId="1" applyNumberFormat="1" applyFont="1" applyBorder="1"/>
    <xf numFmtId="167" fontId="0" fillId="0" borderId="0" xfId="0" applyNumberFormat="1" applyBorder="1"/>
    <xf numFmtId="0" fontId="0" fillId="0" borderId="0" xfId="0" applyBorder="1" applyAlignment="1"/>
    <xf numFmtId="167" fontId="0" fillId="0" borderId="4" xfId="0" applyNumberFormat="1" applyBorder="1"/>
    <xf numFmtId="3" fontId="0" fillId="0" borderId="8" xfId="0" applyNumberForma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5" xfId="0" applyFont="1" applyBorder="1" applyAlignment="1">
      <alignment horizontal="right" readingOrder="2"/>
    </xf>
    <xf numFmtId="167" fontId="2" fillId="0" borderId="8" xfId="1" applyNumberFormat="1" applyFont="1" applyBorder="1"/>
    <xf numFmtId="9" fontId="2" fillId="0" borderId="8" xfId="2" applyFont="1" applyBorder="1"/>
    <xf numFmtId="166" fontId="0" fillId="0" borderId="4" xfId="1" applyNumberFormat="1" applyFont="1" applyFill="1" applyBorder="1"/>
    <xf numFmtId="0" fontId="2" fillId="0" borderId="5" xfId="0" applyFont="1" applyBorder="1"/>
    <xf numFmtId="0" fontId="2" fillId="0" borderId="8" xfId="0" applyFont="1" applyBorder="1" applyAlignment="1"/>
    <xf numFmtId="0" fontId="2" fillId="0" borderId="8" xfId="0" applyFont="1" applyBorder="1"/>
    <xf numFmtId="167" fontId="2" fillId="0" borderId="8" xfId="0" applyNumberFormat="1" applyFont="1" applyBorder="1"/>
    <xf numFmtId="167" fontId="2" fillId="0" borderId="6" xfId="0" applyNumberFormat="1" applyFont="1" applyBorder="1"/>
    <xf numFmtId="10" fontId="2" fillId="0" borderId="0" xfId="0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horizontal="right" readingOrder="2"/>
    </xf>
    <xf numFmtId="3" fontId="0" fillId="0" borderId="3" xfId="0" applyNumberFormat="1" applyBorder="1"/>
    <xf numFmtId="3" fontId="0" fillId="0" borderId="5" xfId="0" applyNumberFormat="1" applyBorder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Protection="1">
      <protection locked="0"/>
    </xf>
    <xf numFmtId="0" fontId="2" fillId="0" borderId="12" xfId="0" applyFont="1" applyBorder="1" applyProtection="1"/>
    <xf numFmtId="0" fontId="2" fillId="0" borderId="13" xfId="0" applyFont="1" applyBorder="1" applyProtection="1"/>
    <xf numFmtId="167" fontId="0" fillId="0" borderId="14" xfId="1" applyNumberFormat="1" applyFont="1" applyBorder="1" applyProtection="1"/>
    <xf numFmtId="167" fontId="0" fillId="0" borderId="15" xfId="1" applyNumberFormat="1" applyFont="1" applyBorder="1" applyProtection="1"/>
    <xf numFmtId="0" fontId="0" fillId="0" borderId="15" xfId="0" applyBorder="1" applyProtection="1"/>
    <xf numFmtId="167" fontId="0" fillId="0" borderId="16" xfId="1" applyNumberFormat="1" applyFont="1" applyBorder="1" applyProtection="1"/>
    <xf numFmtId="0" fontId="0" fillId="0" borderId="17" xfId="0" applyBorder="1" applyProtection="1"/>
    <xf numFmtId="167" fontId="0" fillId="0" borderId="0" xfId="1" applyNumberFormat="1" applyFont="1" applyProtection="1"/>
    <xf numFmtId="0" fontId="0" fillId="0" borderId="0" xfId="0" applyProtection="1"/>
    <xf numFmtId="0" fontId="0" fillId="0" borderId="14" xfId="0" applyBorder="1" applyProtection="1"/>
    <xf numFmtId="0" fontId="0" fillId="0" borderId="16" xfId="0" applyBorder="1" applyProtection="1"/>
    <xf numFmtId="164" fontId="0" fillId="3" borderId="15" xfId="4" applyFont="1" applyFill="1" applyBorder="1" applyProtection="1">
      <protection locked="0"/>
    </xf>
    <xf numFmtId="164" fontId="0" fillId="3" borderId="17" xfId="4" applyFont="1" applyFill="1" applyBorder="1" applyProtection="1">
      <protection locked="0"/>
    </xf>
    <xf numFmtId="2" fontId="0" fillId="0" borderId="0" xfId="0" applyNumberFormat="1" applyProtection="1"/>
    <xf numFmtId="168" fontId="0" fillId="0" borderId="0" xfId="4" applyNumberFormat="1" applyFont="1" applyProtection="1"/>
    <xf numFmtId="0" fontId="6" fillId="0" borderId="0" xfId="0" applyFont="1" applyProtection="1"/>
    <xf numFmtId="168" fontId="7" fillId="0" borderId="0" xfId="4" applyNumberFormat="1" applyFo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ko bili" id="{1DC64B9D-2895-48C5-B66E-638946710C5B}" userId="6eee8fb4cdae4e6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0-04-26T10:26:03.81" personId="{1DC64B9D-2895-48C5-B66E-638946710C5B}" id="{9DACF6BA-AF10-4EB2-827D-F1AEF210C22A}">
    <text>אם עסקך החל את פעילותו לאחר ה-1 בינואר 2019 יש לחשב את סך המחזור מתחילת החודש העוקב שלאחר יום פתיחת החודש עד ליום ה-31 בדצמבר 2019.
יש לחלק את הסכום במספר חודשי הפעילות ולהכפיל ב-12</text>
  </threadedComment>
  <threadedComment ref="B21" dT="2020-04-26T10:23:46.58" personId="{1DC64B9D-2895-48C5-B66E-638946710C5B}" id="{273BE282-3FE6-489D-B57E-BF142BCC31EE}">
    <text>אם עסקך החל את פעילותו לאחר ה-1 במרץ 2019 יש לחשב את סך המחזור מתחילת החודש העוקב שלאחר יום פתיחת החודש עד ליום ה-29 בפברואר 2020.
יש לחלק את הסכום במספר חודשי הפעילות ולהכפיל ב-2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gov.il/he/mediarelease/doclib/2020/099/29_20_099t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rightToLeft="1" workbookViewId="0">
      <selection activeCell="F5" sqref="F5"/>
    </sheetView>
  </sheetViews>
  <sheetFormatPr defaultRowHeight="15" x14ac:dyDescent="0.25"/>
  <cols>
    <col min="2" max="2" width="20.140625" bestFit="1" customWidth="1"/>
    <col min="3" max="3" width="11.85546875" bestFit="1" customWidth="1"/>
    <col min="5" max="5" width="11.140625" bestFit="1" customWidth="1"/>
    <col min="6" max="6" width="16" bestFit="1" customWidth="1"/>
    <col min="7" max="7" width="13.140625" bestFit="1" customWidth="1"/>
    <col min="8" max="8" width="11" bestFit="1" customWidth="1"/>
    <col min="9" max="9" width="19.85546875" customWidth="1"/>
    <col min="10" max="10" width="9.140625" customWidth="1"/>
    <col min="11" max="11" width="18" customWidth="1"/>
    <col min="12" max="12" width="18.42578125" bestFit="1" customWidth="1"/>
    <col min="13" max="13" width="15.85546875" customWidth="1"/>
    <col min="14" max="14" width="7.140625" bestFit="1" customWidth="1"/>
    <col min="15" max="16" width="11.140625" customWidth="1"/>
    <col min="18" max="18" width="18.42578125" bestFit="1" customWidth="1"/>
    <col min="19" max="19" width="13.28515625" bestFit="1" customWidth="1"/>
    <col min="20" max="20" width="21" customWidth="1"/>
  </cols>
  <sheetData>
    <row r="1" spans="2:16" ht="15.75" thickBot="1" x14ac:dyDescent="0.3"/>
    <row r="2" spans="2:16" x14ac:dyDescent="0.25">
      <c r="B2" s="87" t="s">
        <v>12</v>
      </c>
      <c r="C2" s="92"/>
      <c r="D2" s="92"/>
      <c r="E2" s="92"/>
      <c r="F2" s="92"/>
      <c r="G2" s="92"/>
      <c r="H2" s="92"/>
      <c r="I2" s="88"/>
      <c r="L2" s="87" t="s">
        <v>13</v>
      </c>
      <c r="M2" s="88"/>
      <c r="N2" s="93" t="s">
        <v>31</v>
      </c>
      <c r="O2" s="95"/>
      <c r="P2" s="94"/>
    </row>
    <row r="3" spans="2:16" x14ac:dyDescent="0.25">
      <c r="B3" s="2" t="s">
        <v>3</v>
      </c>
      <c r="C3" s="21" t="s">
        <v>1</v>
      </c>
      <c r="D3" s="21" t="s">
        <v>2</v>
      </c>
      <c r="E3" s="21" t="s">
        <v>26</v>
      </c>
      <c r="F3" s="21" t="s">
        <v>28</v>
      </c>
      <c r="G3" s="21" t="s">
        <v>38</v>
      </c>
      <c r="H3" s="21" t="s">
        <v>29</v>
      </c>
      <c r="I3" s="6" t="s">
        <v>30</v>
      </c>
      <c r="L3" s="2" t="s">
        <v>14</v>
      </c>
      <c r="M3" s="3">
        <v>18000</v>
      </c>
      <c r="N3" s="10" t="s">
        <v>32</v>
      </c>
      <c r="O3" s="11" t="s">
        <v>33</v>
      </c>
      <c r="P3" s="12" t="s">
        <v>34</v>
      </c>
    </row>
    <row r="4" spans="2:16" x14ac:dyDescent="0.25">
      <c r="B4" s="2">
        <v>0</v>
      </c>
      <c r="C4" s="37">
        <v>47302</v>
      </c>
      <c r="D4" s="36">
        <f t="shared" ref="D4:D11" si="0">C4/$C$12</f>
        <v>7.8752008257789538E-2</v>
      </c>
      <c r="E4" s="21">
        <f>0</f>
        <v>0</v>
      </c>
      <c r="F4" s="21">
        <f t="shared" ref="F4:F10" si="1">E4*(1-$P$6)</f>
        <v>0</v>
      </c>
      <c r="G4" s="45">
        <v>0</v>
      </c>
      <c r="H4" s="21"/>
      <c r="I4" s="6"/>
      <c r="L4" s="2" t="s">
        <v>15</v>
      </c>
      <c r="M4" s="3">
        <v>20000000</v>
      </c>
      <c r="N4" s="13" t="s">
        <v>35</v>
      </c>
      <c r="O4" s="14">
        <v>0.36</v>
      </c>
      <c r="P4" s="15">
        <v>0.43</v>
      </c>
    </row>
    <row r="5" spans="2:16" ht="15.75" thickBot="1" x14ac:dyDescent="0.3">
      <c r="B5" s="22" t="s">
        <v>5</v>
      </c>
      <c r="C5" s="37">
        <v>114018</v>
      </c>
      <c r="D5" s="36">
        <f t="shared" si="0"/>
        <v>0.18982593711759857</v>
      </c>
      <c r="E5" s="37">
        <f>100000/2</f>
        <v>50000</v>
      </c>
      <c r="F5" s="37">
        <f t="shared" si="1"/>
        <v>18500</v>
      </c>
      <c r="G5" s="45">
        <v>0</v>
      </c>
      <c r="H5" s="21">
        <f t="shared" ref="H5:H10" si="2">($M$15*F5/E5)+(G5/E5)</f>
        <v>0.33300000000000002</v>
      </c>
      <c r="I5" s="6">
        <f t="shared" ref="I5:I10" si="3">MIN($M$16,1-H5)</f>
        <v>0.3</v>
      </c>
      <c r="L5" s="4" t="s">
        <v>16</v>
      </c>
      <c r="M5" s="5">
        <v>0.25</v>
      </c>
      <c r="N5" s="13" t="s">
        <v>36</v>
      </c>
      <c r="O5" s="14">
        <v>0.5</v>
      </c>
      <c r="P5" s="15">
        <v>0.5</v>
      </c>
    </row>
    <row r="6" spans="2:16" ht="15.75" thickBot="1" x14ac:dyDescent="0.3">
      <c r="B6" s="22" t="s">
        <v>6</v>
      </c>
      <c r="C6" s="37">
        <v>231315</v>
      </c>
      <c r="D6" s="36">
        <f t="shared" si="0"/>
        <v>0.38511100566890594</v>
      </c>
      <c r="E6" s="23">
        <v>300000</v>
      </c>
      <c r="F6" s="37">
        <f t="shared" si="1"/>
        <v>111000</v>
      </c>
      <c r="G6" s="45">
        <v>0</v>
      </c>
      <c r="H6" s="21">
        <f t="shared" si="2"/>
        <v>0.33300000000000002</v>
      </c>
      <c r="I6" s="6">
        <f t="shared" si="3"/>
        <v>0.3</v>
      </c>
      <c r="N6" s="16" t="s">
        <v>37</v>
      </c>
      <c r="O6" s="17">
        <v>0.66</v>
      </c>
      <c r="P6" s="5">
        <v>0.63</v>
      </c>
    </row>
    <row r="7" spans="2:16" x14ac:dyDescent="0.25">
      <c r="B7" s="22" t="s">
        <v>7</v>
      </c>
      <c r="C7" s="37">
        <v>75708</v>
      </c>
      <c r="D7" s="36">
        <f t="shared" si="0"/>
        <v>0.12604450216017782</v>
      </c>
      <c r="E7" s="23">
        <v>750000</v>
      </c>
      <c r="F7" s="37">
        <f t="shared" si="1"/>
        <v>277500</v>
      </c>
      <c r="G7" s="45">
        <v>0</v>
      </c>
      <c r="H7" s="21">
        <f t="shared" si="2"/>
        <v>0.33300000000000002</v>
      </c>
      <c r="I7" s="6">
        <f t="shared" si="3"/>
        <v>0.3</v>
      </c>
      <c r="L7" s="87" t="s">
        <v>22</v>
      </c>
      <c r="M7" s="88"/>
    </row>
    <row r="8" spans="2:16" x14ac:dyDescent="0.25">
      <c r="B8" s="22" t="s">
        <v>8</v>
      </c>
      <c r="C8" s="37">
        <v>33415</v>
      </c>
      <c r="D8" s="36">
        <f t="shared" si="0"/>
        <v>5.5631862414571E-2</v>
      </c>
      <c r="E8" s="23">
        <v>1250000</v>
      </c>
      <c r="F8" s="37">
        <f t="shared" si="1"/>
        <v>462500</v>
      </c>
      <c r="G8" s="45">
        <v>0</v>
      </c>
      <c r="H8" s="21">
        <f t="shared" si="2"/>
        <v>0.33300000000000002</v>
      </c>
      <c r="I8" s="6">
        <f t="shared" si="3"/>
        <v>0.3</v>
      </c>
      <c r="L8" s="2" t="s">
        <v>20</v>
      </c>
      <c r="M8" s="6" t="s">
        <v>18</v>
      </c>
    </row>
    <row r="9" spans="2:16" x14ac:dyDescent="0.25">
      <c r="B9" s="22" t="s">
        <v>9</v>
      </c>
      <c r="C9" s="37">
        <v>60442</v>
      </c>
      <c r="D9" s="36">
        <f t="shared" si="0"/>
        <v>0.10062849103879995</v>
      </c>
      <c r="E9" s="23">
        <v>3250000</v>
      </c>
      <c r="F9" s="37">
        <f t="shared" si="1"/>
        <v>1202500</v>
      </c>
      <c r="G9" s="45">
        <v>0</v>
      </c>
      <c r="H9" s="21">
        <f t="shared" si="2"/>
        <v>0.33300000000000002</v>
      </c>
      <c r="I9" s="6">
        <f t="shared" si="3"/>
        <v>0.3</v>
      </c>
      <c r="L9" s="7" t="s">
        <v>17</v>
      </c>
      <c r="M9" s="6">
        <v>700</v>
      </c>
    </row>
    <row r="10" spans="2:16" x14ac:dyDescent="0.25">
      <c r="B10" s="22" t="s">
        <v>10</v>
      </c>
      <c r="C10" s="37">
        <v>33589</v>
      </c>
      <c r="D10" s="36">
        <f t="shared" si="0"/>
        <v>5.5921550999342373E-2</v>
      </c>
      <c r="E10" s="23">
        <v>27500000</v>
      </c>
      <c r="F10" s="37">
        <f t="shared" si="1"/>
        <v>10175000</v>
      </c>
      <c r="G10" s="45">
        <v>0</v>
      </c>
      <c r="H10" s="21">
        <f t="shared" si="2"/>
        <v>0.33300000000000002</v>
      </c>
      <c r="I10" s="6">
        <f t="shared" si="3"/>
        <v>0.3</v>
      </c>
      <c r="L10" s="7" t="s">
        <v>19</v>
      </c>
      <c r="M10" s="3">
        <v>1875</v>
      </c>
    </row>
    <row r="11" spans="2:16" ht="15.75" thickBot="1" x14ac:dyDescent="0.3">
      <c r="B11" s="22" t="s">
        <v>11</v>
      </c>
      <c r="C11" s="37">
        <v>4856</v>
      </c>
      <c r="D11" s="36">
        <f t="shared" si="0"/>
        <v>8.0846423428148073E-3</v>
      </c>
      <c r="E11" s="21"/>
      <c r="F11" s="21"/>
      <c r="G11" s="21"/>
      <c r="H11" s="21"/>
      <c r="I11" s="6"/>
      <c r="L11" s="8" t="s">
        <v>21</v>
      </c>
      <c r="M11" s="9">
        <v>3025</v>
      </c>
    </row>
    <row r="12" spans="2:16" ht="15.75" thickBot="1" x14ac:dyDescent="0.3">
      <c r="B12" s="46" t="s">
        <v>4</v>
      </c>
      <c r="C12" s="47">
        <f>SUM(C4:C11)</f>
        <v>600645</v>
      </c>
      <c r="D12" s="48">
        <f>SUM(D4:D11)</f>
        <v>1</v>
      </c>
      <c r="E12" s="25"/>
      <c r="F12" s="25"/>
      <c r="G12" s="25"/>
      <c r="H12" s="25"/>
      <c r="I12" s="26"/>
    </row>
    <row r="13" spans="2:16" x14ac:dyDescent="0.25">
      <c r="L13" s="87" t="s">
        <v>23</v>
      </c>
      <c r="M13" s="88"/>
    </row>
    <row r="14" spans="2:16" ht="15.75" thickBot="1" x14ac:dyDescent="0.3">
      <c r="L14" s="2" t="s">
        <v>24</v>
      </c>
      <c r="M14" s="3">
        <v>400000</v>
      </c>
    </row>
    <row r="15" spans="2:16" ht="15.75" thickBot="1" x14ac:dyDescent="0.3">
      <c r="B15" s="89" t="s">
        <v>64</v>
      </c>
      <c r="C15" s="90"/>
      <c r="D15" s="90"/>
      <c r="E15" s="90"/>
      <c r="F15" s="90"/>
      <c r="G15" s="90"/>
      <c r="H15" s="91"/>
      <c r="L15" s="2" t="s">
        <v>27</v>
      </c>
      <c r="M15" s="6">
        <v>0.9</v>
      </c>
    </row>
    <row r="16" spans="2:16" ht="15.75" thickBot="1" x14ac:dyDescent="0.3">
      <c r="B16" s="19"/>
      <c r="C16" s="20"/>
      <c r="D16" s="87" t="s">
        <v>47</v>
      </c>
      <c r="E16" s="92"/>
      <c r="F16" s="92"/>
      <c r="G16" s="92"/>
      <c r="H16" s="88"/>
      <c r="L16" s="4" t="s">
        <v>25</v>
      </c>
      <c r="M16" s="26">
        <v>0.3</v>
      </c>
    </row>
    <row r="17" spans="1:14" ht="15.75" thickBot="1" x14ac:dyDescent="0.3">
      <c r="B17" s="2"/>
      <c r="C17" s="21"/>
      <c r="D17" s="42" t="s">
        <v>42</v>
      </c>
      <c r="E17" s="43" t="s">
        <v>41</v>
      </c>
      <c r="F17" s="43" t="s">
        <v>40</v>
      </c>
      <c r="G17" s="43" t="s">
        <v>39</v>
      </c>
      <c r="H17" s="44">
        <v>0.25</v>
      </c>
    </row>
    <row r="18" spans="1:14" x14ac:dyDescent="0.25">
      <c r="B18" s="29" t="s">
        <v>0</v>
      </c>
      <c r="C18" s="30" t="s">
        <v>68</v>
      </c>
      <c r="D18" s="87" t="s">
        <v>46</v>
      </c>
      <c r="E18" s="92"/>
      <c r="F18" s="92"/>
      <c r="G18" s="92"/>
      <c r="H18" s="88"/>
      <c r="L18" s="87" t="s">
        <v>48</v>
      </c>
      <c r="M18" s="88"/>
      <c r="N18" s="14"/>
    </row>
    <row r="19" spans="1:14" x14ac:dyDescent="0.25">
      <c r="B19" s="2">
        <v>0</v>
      </c>
      <c r="C19" s="6">
        <v>0</v>
      </c>
      <c r="D19" s="2">
        <v>0</v>
      </c>
      <c r="E19" s="21">
        <v>0</v>
      </c>
      <c r="F19" s="21">
        <v>0</v>
      </c>
      <c r="G19" s="21">
        <v>12</v>
      </c>
      <c r="H19" s="6">
        <f>IF(H17&lt;=M5,0,G19)</f>
        <v>0</v>
      </c>
      <c r="L19" s="7" t="s">
        <v>39</v>
      </c>
      <c r="M19" s="49">
        <v>0.1</v>
      </c>
    </row>
    <row r="20" spans="1:14" x14ac:dyDescent="0.25">
      <c r="B20" s="22" t="s">
        <v>5</v>
      </c>
      <c r="C20" s="3">
        <f>50000/12</f>
        <v>4166.666666666667</v>
      </c>
      <c r="D20" s="2">
        <f t="shared" ref="D20:F20" si="4">$M$9</f>
        <v>700</v>
      </c>
      <c r="E20" s="21">
        <f t="shared" si="4"/>
        <v>700</v>
      </c>
      <c r="F20" s="21">
        <f t="shared" si="4"/>
        <v>700</v>
      </c>
      <c r="G20" s="21">
        <f>$M$9</f>
        <v>700</v>
      </c>
      <c r="H20" s="6">
        <f>IF(H19&lt;=M6,0,G20)</f>
        <v>0</v>
      </c>
      <c r="L20" s="7" t="s">
        <v>40</v>
      </c>
      <c r="M20" s="49">
        <v>0.2</v>
      </c>
    </row>
    <row r="21" spans="1:14" x14ac:dyDescent="0.25">
      <c r="B21" s="22" t="s">
        <v>43</v>
      </c>
      <c r="C21" s="3">
        <f>150000/12</f>
        <v>12500</v>
      </c>
      <c r="D21" s="63">
        <f t="shared" ref="D21:F21" si="5">$M$10</f>
        <v>1875</v>
      </c>
      <c r="E21" s="23">
        <f t="shared" si="5"/>
        <v>1875</v>
      </c>
      <c r="F21" s="23">
        <f t="shared" si="5"/>
        <v>1875</v>
      </c>
      <c r="G21" s="23">
        <f>$M$10</f>
        <v>1875</v>
      </c>
      <c r="H21" s="6">
        <f>IF(H20&lt;=M7,0,G21)</f>
        <v>0</v>
      </c>
      <c r="L21" s="7" t="s">
        <v>41</v>
      </c>
      <c r="M21" s="6">
        <v>0.35</v>
      </c>
    </row>
    <row r="22" spans="1:14" ht="15.75" thickBot="1" x14ac:dyDescent="0.3">
      <c r="B22" s="22" t="s">
        <v>44</v>
      </c>
      <c r="C22" s="3">
        <f>250000/12</f>
        <v>20833.333333333332</v>
      </c>
      <c r="D22" s="63">
        <f t="shared" ref="D22:F22" si="6">$M$11</f>
        <v>3025</v>
      </c>
      <c r="E22" s="23">
        <f t="shared" si="6"/>
        <v>3025</v>
      </c>
      <c r="F22" s="23">
        <f t="shared" si="6"/>
        <v>3025</v>
      </c>
      <c r="G22" s="23">
        <f>$M$11</f>
        <v>3025</v>
      </c>
      <c r="H22" s="6">
        <f>IF(H21&lt;=M8,0,G22)</f>
        <v>0</v>
      </c>
      <c r="L22" s="8" t="s">
        <v>42</v>
      </c>
      <c r="M22" s="26">
        <v>0.5</v>
      </c>
    </row>
    <row r="23" spans="1:14" x14ac:dyDescent="0.25">
      <c r="B23" s="22" t="s">
        <v>45</v>
      </c>
      <c r="C23" s="3">
        <f>400000/12</f>
        <v>33333.333333333336</v>
      </c>
      <c r="D23" s="63">
        <f>MIN($M$22*(C23*($M$24+$M$25))*I6,$M$14)</f>
        <v>11250</v>
      </c>
      <c r="E23" s="23">
        <f>MIN($M$21*(C23*($M$24+$M$25))*I6,$M$14)</f>
        <v>7875</v>
      </c>
      <c r="F23" s="23">
        <f>MIN($M$20*(C23*($M$24+$M$25))*I6,$M$14)</f>
        <v>4500</v>
      </c>
      <c r="G23" s="23">
        <f>MIN($M$19*(C23*($M$24+$M$25))*I6,$M$14)</f>
        <v>2250</v>
      </c>
      <c r="H23" s="6">
        <f>IF(H22&lt;=M9,0,G23)</f>
        <v>0</v>
      </c>
      <c r="L23" s="93" t="s">
        <v>71</v>
      </c>
      <c r="M23" s="94"/>
    </row>
    <row r="24" spans="1:14" x14ac:dyDescent="0.25">
      <c r="B24" s="22" t="s">
        <v>7</v>
      </c>
      <c r="C24" s="3">
        <f>750000/12</f>
        <v>62500</v>
      </c>
      <c r="D24" s="63">
        <f t="shared" ref="D24:D28" si="7">MIN($M$22*(C24*($M$24+$M$25))*I7,$M$14)</f>
        <v>21093.75</v>
      </c>
      <c r="E24" s="23">
        <f t="shared" ref="E24:E28" si="8">MIN($M$21*(C24*($M$24+$M$25))*I7,$M$14)</f>
        <v>14765.625</v>
      </c>
      <c r="F24" s="23">
        <f t="shared" ref="F24:F28" si="9">MIN($M$20*(C24*($M$24+$M$25))*I7,$M$14)</f>
        <v>8437.5</v>
      </c>
      <c r="G24" s="23">
        <f t="shared" ref="G24:G28" si="10">MIN($M$19*(C24*($M$24+$M$25))*I7,$M$14)</f>
        <v>4218.75</v>
      </c>
      <c r="H24" s="6">
        <f>IF(H21&lt;=M8,0,G24)</f>
        <v>0</v>
      </c>
      <c r="L24" s="65" t="s">
        <v>69</v>
      </c>
      <c r="M24" s="6">
        <v>1</v>
      </c>
    </row>
    <row r="25" spans="1:14" ht="15.75" thickBot="1" x14ac:dyDescent="0.3">
      <c r="B25" s="22" t="s">
        <v>8</v>
      </c>
      <c r="C25" s="3">
        <f>1250000/12</f>
        <v>104166.66666666667</v>
      </c>
      <c r="D25" s="63">
        <f t="shared" si="7"/>
        <v>35156.25</v>
      </c>
      <c r="E25" s="23">
        <f t="shared" si="8"/>
        <v>24609.375</v>
      </c>
      <c r="F25" s="23">
        <f t="shared" si="9"/>
        <v>14062.5</v>
      </c>
      <c r="G25" s="23">
        <f t="shared" si="10"/>
        <v>7031.25</v>
      </c>
      <c r="H25" s="6">
        <f>IF(H24&lt;=M9,0,G25)</f>
        <v>0</v>
      </c>
      <c r="L25" s="66" t="s">
        <v>70</v>
      </c>
      <c r="M25" s="26">
        <v>1.25</v>
      </c>
    </row>
    <row r="26" spans="1:14" x14ac:dyDescent="0.25">
      <c r="B26" s="22" t="s">
        <v>9</v>
      </c>
      <c r="C26" s="3">
        <f>3250000/12</f>
        <v>270833.33333333331</v>
      </c>
      <c r="D26" s="63">
        <f t="shared" si="7"/>
        <v>91406.25</v>
      </c>
      <c r="E26" s="23">
        <f t="shared" si="8"/>
        <v>63984.375</v>
      </c>
      <c r="F26" s="23">
        <f t="shared" si="9"/>
        <v>36562.5</v>
      </c>
      <c r="G26" s="23">
        <f t="shared" si="10"/>
        <v>18281.25</v>
      </c>
      <c r="H26" s="6">
        <f>IF(H25&lt;=M10,0,G26)</f>
        <v>0</v>
      </c>
    </row>
    <row r="27" spans="1:14" x14ac:dyDescent="0.25">
      <c r="B27" s="22" t="s">
        <v>10</v>
      </c>
      <c r="C27" s="3">
        <f>20000000/12</f>
        <v>1666666.6666666667</v>
      </c>
      <c r="D27" s="63">
        <f t="shared" si="7"/>
        <v>400000</v>
      </c>
      <c r="E27" s="23">
        <f t="shared" si="8"/>
        <v>393750</v>
      </c>
      <c r="F27" s="23">
        <f t="shared" si="9"/>
        <v>225000</v>
      </c>
      <c r="G27" s="23">
        <f t="shared" si="10"/>
        <v>112500</v>
      </c>
      <c r="H27" s="6">
        <f>IF(H26&lt;=M11,0,G27)</f>
        <v>0</v>
      </c>
    </row>
    <row r="28" spans="1:14" ht="15.75" thickBot="1" x14ac:dyDescent="0.3">
      <c r="B28" s="24" t="s">
        <v>11</v>
      </c>
      <c r="C28" s="26"/>
      <c r="D28" s="64">
        <f t="shared" si="7"/>
        <v>0</v>
      </c>
      <c r="E28" s="41">
        <f t="shared" si="8"/>
        <v>0</v>
      </c>
      <c r="F28" s="41">
        <f t="shared" si="9"/>
        <v>0</v>
      </c>
      <c r="G28" s="41">
        <f t="shared" si="10"/>
        <v>0</v>
      </c>
      <c r="H28" s="26">
        <f>IF(H27&lt;=M12,0,G28)</f>
        <v>0</v>
      </c>
    </row>
    <row r="29" spans="1:14" ht="15.75" thickBot="1" x14ac:dyDescent="0.3">
      <c r="B29" s="18"/>
      <c r="C29" s="18"/>
      <c r="D29" s="18"/>
    </row>
    <row r="30" spans="1:14" x14ac:dyDescent="0.25">
      <c r="A30" s="87" t="s">
        <v>65</v>
      </c>
      <c r="B30" s="92"/>
      <c r="C30" s="92"/>
      <c r="D30" s="92"/>
      <c r="E30" s="92"/>
      <c r="F30" s="92"/>
      <c r="G30" s="92"/>
      <c r="H30" s="92"/>
      <c r="I30" s="88"/>
    </row>
    <row r="31" spans="1:14" x14ac:dyDescent="0.25">
      <c r="B31" s="62" t="s">
        <v>66</v>
      </c>
      <c r="C31" s="58" t="s">
        <v>42</v>
      </c>
      <c r="D31" s="58" t="s">
        <v>41</v>
      </c>
      <c r="E31" s="58" t="s">
        <v>40</v>
      </c>
      <c r="F31" s="58" t="s">
        <v>39</v>
      </c>
      <c r="G31" s="59">
        <v>0.25</v>
      </c>
      <c r="H31" s="60" t="s">
        <v>4</v>
      </c>
      <c r="I31" s="61" t="s">
        <v>63</v>
      </c>
    </row>
    <row r="32" spans="1:14" x14ac:dyDescent="0.25">
      <c r="A32" s="28" t="s">
        <v>0</v>
      </c>
      <c r="B32" s="27" t="s">
        <v>67</v>
      </c>
      <c r="C32" s="55">
        <f>גיליון2!$I$15/2</f>
        <v>0.11516666666666668</v>
      </c>
      <c r="D32" s="56">
        <f>(גיליון2!$H$15+גיליון2!$I$15)/2</f>
        <v>0.19900000000000001</v>
      </c>
      <c r="E32" s="56">
        <f>(גיליון2!$G$15+גיליון2!$H$15)/2</f>
        <v>0.21066666666666667</v>
      </c>
      <c r="F32" s="56">
        <f>גיליון2!$G$15/2</f>
        <v>0.12683333333333335</v>
      </c>
      <c r="G32" s="57">
        <f>גיליון2!$E$15+גיליון2!$F$15</f>
        <v>0.34799999999999998</v>
      </c>
      <c r="H32" s="21"/>
      <c r="I32" s="6"/>
    </row>
    <row r="33" spans="1:9" x14ac:dyDescent="0.25">
      <c r="A33" s="2">
        <v>0</v>
      </c>
      <c r="B33" s="21"/>
      <c r="C33" s="37">
        <f t="shared" ref="C33" si="11">$C$32*H33</f>
        <v>5447.6136666666671</v>
      </c>
      <c r="D33" s="37">
        <f t="shared" ref="D33" si="12">$D$32*H33</f>
        <v>9413.098</v>
      </c>
      <c r="E33" s="37">
        <f t="shared" ref="E33:F33" si="13">E32*$H$33</f>
        <v>9964.9546666666665</v>
      </c>
      <c r="F33" s="37">
        <f t="shared" si="13"/>
        <v>5999.4703333333346</v>
      </c>
      <c r="G33" s="37">
        <f>G32*$H$33</f>
        <v>16461.095999999998</v>
      </c>
      <c r="H33" s="38">
        <f>C4</f>
        <v>47302</v>
      </c>
      <c r="I33" s="6">
        <f>0</f>
        <v>0</v>
      </c>
    </row>
    <row r="34" spans="1:9" x14ac:dyDescent="0.25">
      <c r="A34" s="22" t="s">
        <v>5</v>
      </c>
      <c r="B34" s="21"/>
      <c r="C34" s="37">
        <f>$C$32*H34</f>
        <v>13131.073000000002</v>
      </c>
      <c r="D34" s="37">
        <f>$D$32*H34</f>
        <v>22689.582000000002</v>
      </c>
      <c r="E34" s="37">
        <f>$E$32*H34</f>
        <v>24019.792000000001</v>
      </c>
      <c r="F34" s="37">
        <f>$F$32*H34</f>
        <v>14461.283000000003</v>
      </c>
      <c r="G34" s="37">
        <f>$G$32*H34</f>
        <v>39678.263999999996</v>
      </c>
      <c r="H34" s="38">
        <f>C5</f>
        <v>114018</v>
      </c>
      <c r="I34" s="40">
        <f>((H34-G34)*M9)/1000000</f>
        <v>52.037815200000004</v>
      </c>
    </row>
    <row r="35" spans="1:9" x14ac:dyDescent="0.25">
      <c r="A35" s="22" t="s">
        <v>43</v>
      </c>
      <c r="B35" s="21"/>
      <c r="C35" s="37">
        <f t="shared" ref="C35:C42" si="14">$C$32*H35</f>
        <v>6659.9443750000009</v>
      </c>
      <c r="D35" s="37">
        <f t="shared" ref="D35:D42" si="15">$D$32*H35</f>
        <v>11507.921250000001</v>
      </c>
      <c r="E35" s="37">
        <f t="shared" ref="E35:E42" si="16">$E$32*H35</f>
        <v>12182.59</v>
      </c>
      <c r="F35" s="37">
        <f t="shared" ref="F35:F42" si="17">$F$32*H35</f>
        <v>7334.6131250000008</v>
      </c>
      <c r="G35" s="37">
        <f t="shared" ref="G35:G42" si="18">$G$32*H35</f>
        <v>20124.404999999999</v>
      </c>
      <c r="H35" s="38">
        <f>C6/4</f>
        <v>57828.75</v>
      </c>
      <c r="I35" s="40">
        <f>((H35-G35)*M10)/1000000</f>
        <v>70.695646874999994</v>
      </c>
    </row>
    <row r="36" spans="1:9" x14ac:dyDescent="0.25">
      <c r="A36" s="22" t="s">
        <v>44</v>
      </c>
      <c r="B36" s="21"/>
      <c r="C36" s="37">
        <f t="shared" si="14"/>
        <v>6659.9443750000009</v>
      </c>
      <c r="D36" s="37">
        <f t="shared" si="15"/>
        <v>11507.921250000001</v>
      </c>
      <c r="E36" s="37">
        <f t="shared" si="16"/>
        <v>12182.59</v>
      </c>
      <c r="F36" s="37">
        <f t="shared" si="17"/>
        <v>7334.6131250000008</v>
      </c>
      <c r="G36" s="37">
        <f t="shared" si="18"/>
        <v>20124.404999999999</v>
      </c>
      <c r="H36" s="38">
        <f>H35</f>
        <v>57828.75</v>
      </c>
      <c r="I36" s="40">
        <f>((H36-G36)*M11)/1000000</f>
        <v>114.055643625</v>
      </c>
    </row>
    <row r="37" spans="1:9" x14ac:dyDescent="0.25">
      <c r="A37" s="22" t="s">
        <v>45</v>
      </c>
      <c r="B37" s="21"/>
      <c r="C37" s="37">
        <f t="shared" si="14"/>
        <v>13319.888750000002</v>
      </c>
      <c r="D37" s="37">
        <f t="shared" si="15"/>
        <v>23015.842500000002</v>
      </c>
      <c r="E37" s="37">
        <f t="shared" si="16"/>
        <v>24365.18</v>
      </c>
      <c r="F37" s="37">
        <f t="shared" si="17"/>
        <v>14669.226250000002</v>
      </c>
      <c r="G37" s="37">
        <f t="shared" si="18"/>
        <v>40248.81</v>
      </c>
      <c r="H37" s="38">
        <f>H36*2</f>
        <v>115657.5</v>
      </c>
      <c r="I37" s="40">
        <f>((G37*H23)+(F37*G23)+(E37*F23)+(D37*E23)+(C37*D23))/1000000</f>
        <v>473.74757718749999</v>
      </c>
    </row>
    <row r="38" spans="1:9" x14ac:dyDescent="0.25">
      <c r="A38" s="22" t="s">
        <v>7</v>
      </c>
      <c r="B38" s="21"/>
      <c r="C38" s="37">
        <f t="shared" si="14"/>
        <v>8719.0380000000005</v>
      </c>
      <c r="D38" s="37">
        <f t="shared" si="15"/>
        <v>15065.892000000002</v>
      </c>
      <c r="E38" s="37">
        <f t="shared" si="16"/>
        <v>15949.152</v>
      </c>
      <c r="F38" s="37">
        <f t="shared" si="17"/>
        <v>9602.2980000000007</v>
      </c>
      <c r="G38" s="37">
        <f t="shared" si="18"/>
        <v>26346.383999999998</v>
      </c>
      <c r="H38" s="38">
        <f>C7</f>
        <v>75708</v>
      </c>
      <c r="I38" s="40">
        <f>((G38*H24)+(F38*G24)+(E38*F24)+(D38*E24)+(C38*D24))/1000000</f>
        <v>581.45518406250005</v>
      </c>
    </row>
    <row r="39" spans="1:9" x14ac:dyDescent="0.25">
      <c r="A39" s="22" t="s">
        <v>8</v>
      </c>
      <c r="B39" s="21"/>
      <c r="C39" s="37">
        <f t="shared" si="14"/>
        <v>3848.294166666667</v>
      </c>
      <c r="D39" s="37">
        <f t="shared" si="15"/>
        <v>6649.585</v>
      </c>
      <c r="E39" s="37">
        <f t="shared" si="16"/>
        <v>7039.4266666666672</v>
      </c>
      <c r="F39" s="37">
        <f t="shared" si="17"/>
        <v>4238.1358333333337</v>
      </c>
      <c r="G39" s="37">
        <f t="shared" si="18"/>
        <v>11628.42</v>
      </c>
      <c r="H39" s="38">
        <f>C8</f>
        <v>33415</v>
      </c>
      <c r="I39" s="40">
        <f t="shared" ref="I39:I42" si="19">((G39*H25)+(F39*G25)+(E39*F25)+(D39*E25)+(C39*D25))/1000000</f>
        <v>427.72505273437503</v>
      </c>
    </row>
    <row r="40" spans="1:9" x14ac:dyDescent="0.25">
      <c r="A40" s="22" t="s">
        <v>9</v>
      </c>
      <c r="B40" s="21"/>
      <c r="C40" s="37">
        <f t="shared" si="14"/>
        <v>6960.903666666668</v>
      </c>
      <c r="D40" s="37">
        <f t="shared" si="15"/>
        <v>12027.958000000001</v>
      </c>
      <c r="E40" s="37">
        <f t="shared" si="16"/>
        <v>12733.114666666666</v>
      </c>
      <c r="F40" s="37">
        <f t="shared" si="17"/>
        <v>7666.0603333333347</v>
      </c>
      <c r="G40" s="37">
        <f t="shared" si="18"/>
        <v>21033.815999999999</v>
      </c>
      <c r="H40" s="38">
        <f>C9</f>
        <v>60442</v>
      </c>
      <c r="I40" s="40">
        <f t="shared" si="19"/>
        <v>2011.5711464062499</v>
      </c>
    </row>
    <row r="41" spans="1:9" x14ac:dyDescent="0.25">
      <c r="A41" s="22" t="s">
        <v>10</v>
      </c>
      <c r="B41" s="21"/>
      <c r="C41" s="37">
        <f t="shared" si="14"/>
        <v>3868.3331666666672</v>
      </c>
      <c r="D41" s="37">
        <f t="shared" si="15"/>
        <v>6684.2110000000002</v>
      </c>
      <c r="E41" s="37">
        <f t="shared" si="16"/>
        <v>7076.0826666666671</v>
      </c>
      <c r="F41" s="37">
        <f t="shared" si="17"/>
        <v>4260.2048333333341</v>
      </c>
      <c r="G41" s="37">
        <f t="shared" si="18"/>
        <v>11688.972</v>
      </c>
      <c r="H41" s="38">
        <f>C10</f>
        <v>33589</v>
      </c>
      <c r="I41" s="40">
        <f t="shared" si="19"/>
        <v>6250.6329916666673</v>
      </c>
    </row>
    <row r="42" spans="1:9" x14ac:dyDescent="0.25">
      <c r="A42" s="22" t="s">
        <v>11</v>
      </c>
      <c r="B42" s="39"/>
      <c r="C42" s="37">
        <f t="shared" si="14"/>
        <v>559.24933333333342</v>
      </c>
      <c r="D42" s="37">
        <f t="shared" si="15"/>
        <v>966.34400000000005</v>
      </c>
      <c r="E42" s="37">
        <f t="shared" si="16"/>
        <v>1022.9973333333334</v>
      </c>
      <c r="F42" s="37">
        <f t="shared" si="17"/>
        <v>615.90266666666673</v>
      </c>
      <c r="G42" s="37">
        <f t="shared" si="18"/>
        <v>1689.8879999999999</v>
      </c>
      <c r="H42" s="38">
        <f>C11</f>
        <v>4856</v>
      </c>
      <c r="I42" s="40">
        <f t="shared" si="19"/>
        <v>0</v>
      </c>
    </row>
    <row r="43" spans="1:9" x14ac:dyDescent="0.25">
      <c r="A43" s="2"/>
      <c r="B43" s="39"/>
      <c r="C43" s="39"/>
      <c r="D43" s="39"/>
      <c r="E43" s="21"/>
      <c r="F43" s="21"/>
      <c r="G43" s="21"/>
      <c r="H43" s="21"/>
      <c r="I43" s="6"/>
    </row>
    <row r="44" spans="1:9" ht="15.75" thickBot="1" x14ac:dyDescent="0.3">
      <c r="A44" s="50" t="s">
        <v>4</v>
      </c>
      <c r="B44" s="51"/>
      <c r="C44" s="51"/>
      <c r="D44" s="51"/>
      <c r="E44" s="52"/>
      <c r="F44" s="52"/>
      <c r="G44" s="52"/>
      <c r="H44" s="53">
        <f>SUM(H33:H42)</f>
        <v>600645</v>
      </c>
      <c r="I44" s="54">
        <f>SUM(I33:I42)</f>
        <v>9981.9210577572921</v>
      </c>
    </row>
    <row r="45" spans="1:9" x14ac:dyDescent="0.25">
      <c r="B45" s="18"/>
      <c r="C45" s="18"/>
      <c r="D45" s="18"/>
    </row>
    <row r="46" spans="1:9" x14ac:dyDescent="0.25">
      <c r="B46" s="18"/>
      <c r="C46" s="18"/>
      <c r="D46" s="18"/>
    </row>
    <row r="47" spans="1:9" x14ac:dyDescent="0.25">
      <c r="B47" s="18"/>
      <c r="C47" s="18"/>
      <c r="D47" s="18"/>
    </row>
    <row r="48" spans="1:9" x14ac:dyDescent="0.25">
      <c r="B48" s="18"/>
      <c r="C48" s="18"/>
      <c r="D48" s="18"/>
    </row>
    <row r="49" spans="2:4" x14ac:dyDescent="0.25">
      <c r="B49" s="18"/>
      <c r="C49" s="18"/>
      <c r="D49" s="18"/>
    </row>
    <row r="50" spans="2:4" x14ac:dyDescent="0.25">
      <c r="B50" s="18"/>
      <c r="C50" s="18"/>
      <c r="D50" s="18"/>
    </row>
    <row r="51" spans="2:4" x14ac:dyDescent="0.25">
      <c r="B51" s="18"/>
      <c r="C51" s="18"/>
      <c r="D51" s="18"/>
    </row>
    <row r="52" spans="2:4" x14ac:dyDescent="0.25">
      <c r="B52" s="18"/>
      <c r="C52" s="18"/>
      <c r="D52" s="18"/>
    </row>
    <row r="53" spans="2:4" x14ac:dyDescent="0.25">
      <c r="B53" s="18"/>
      <c r="C53" s="18"/>
      <c r="D53" s="18"/>
    </row>
    <row r="54" spans="2:4" x14ac:dyDescent="0.25">
      <c r="B54" s="18"/>
      <c r="C54" s="18"/>
      <c r="D54" s="18"/>
    </row>
    <row r="55" spans="2:4" x14ac:dyDescent="0.25">
      <c r="B55" s="18"/>
      <c r="C55" s="18"/>
      <c r="D55" s="18"/>
    </row>
    <row r="56" spans="2:4" x14ac:dyDescent="0.25">
      <c r="B56" s="18"/>
      <c r="C56" s="18"/>
      <c r="D56" s="18"/>
    </row>
  </sheetData>
  <mergeCells count="11">
    <mergeCell ref="L2:M2"/>
    <mergeCell ref="L7:M7"/>
    <mergeCell ref="N2:P2"/>
    <mergeCell ref="B2:I2"/>
    <mergeCell ref="L13:M13"/>
    <mergeCell ref="L18:M18"/>
    <mergeCell ref="B15:H15"/>
    <mergeCell ref="A30:I30"/>
    <mergeCell ref="D18:H18"/>
    <mergeCell ref="D16:H16"/>
    <mergeCell ref="L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17"/>
  <sheetViews>
    <sheetView rightToLeft="1" workbookViewId="0">
      <selection activeCell="E15" sqref="E15"/>
    </sheetView>
  </sheetViews>
  <sheetFormatPr defaultRowHeight="15" x14ac:dyDescent="0.25"/>
  <cols>
    <col min="4" max="4" width="32.7109375" customWidth="1"/>
    <col min="7" max="7" width="27.5703125" customWidth="1"/>
    <col min="8" max="8" width="10" bestFit="1" customWidth="1"/>
    <col min="9" max="9" width="11.140625" bestFit="1" customWidth="1"/>
  </cols>
  <sheetData>
    <row r="6" spans="4:11" x14ac:dyDescent="0.25">
      <c r="E6" s="96" t="s">
        <v>49</v>
      </c>
      <c r="F6" s="96"/>
      <c r="G6" s="96"/>
      <c r="H6" s="96"/>
      <c r="I6" s="96"/>
    </row>
    <row r="7" spans="4:11" x14ac:dyDescent="0.25">
      <c r="D7" s="31" t="s">
        <v>32</v>
      </c>
      <c r="E7" s="31" t="s">
        <v>50</v>
      </c>
      <c r="F7" s="31" t="s">
        <v>51</v>
      </c>
      <c r="G7" s="32" t="s">
        <v>52</v>
      </c>
      <c r="H7" s="32" t="s">
        <v>53</v>
      </c>
      <c r="I7" s="32" t="s">
        <v>54</v>
      </c>
      <c r="J7" s="32" t="s">
        <v>55</v>
      </c>
      <c r="K7" s="32"/>
    </row>
    <row r="8" spans="4:11" x14ac:dyDescent="0.25">
      <c r="D8" s="31" t="s">
        <v>56</v>
      </c>
      <c r="E8" s="33">
        <v>0.13800000000000001</v>
      </c>
      <c r="F8" s="33">
        <v>0.17799999999999999</v>
      </c>
      <c r="G8" s="33">
        <v>0.27900000000000003</v>
      </c>
      <c r="H8" s="33">
        <v>0.21099999999999999</v>
      </c>
      <c r="I8" s="33">
        <v>0.19400000000000001</v>
      </c>
      <c r="J8" s="34">
        <f>I8+H8+G8+F8</f>
        <v>0.8620000000000001</v>
      </c>
      <c r="K8" s="34"/>
    </row>
    <row r="9" spans="4:11" x14ac:dyDescent="0.25">
      <c r="D9" s="31" t="s">
        <v>57</v>
      </c>
      <c r="E9" s="33">
        <v>0.372</v>
      </c>
      <c r="F9" s="33">
        <v>0.17100000000000001</v>
      </c>
      <c r="G9" s="1">
        <v>0.13</v>
      </c>
      <c r="H9" s="33">
        <v>0.11899999999999999</v>
      </c>
      <c r="I9" s="33">
        <v>0.20799999999999999</v>
      </c>
      <c r="J9" s="34">
        <f t="shared" ref="J9:J13" si="0">I9+H9+G9+F9</f>
        <v>0.628</v>
      </c>
      <c r="K9" s="34"/>
    </row>
    <row r="10" spans="4:11" x14ac:dyDescent="0.25">
      <c r="D10" s="31" t="s">
        <v>58</v>
      </c>
      <c r="E10" s="33">
        <v>0.313</v>
      </c>
      <c r="F10" s="33">
        <v>8.5000000000000006E-2</v>
      </c>
      <c r="G10" s="33">
        <v>0.33200000000000002</v>
      </c>
      <c r="H10" s="33">
        <v>1E-3</v>
      </c>
      <c r="I10" s="33">
        <v>0.26900000000000002</v>
      </c>
      <c r="J10" s="34">
        <f t="shared" si="0"/>
        <v>0.68700000000000006</v>
      </c>
      <c r="K10" s="34"/>
    </row>
    <row r="11" spans="4:11" x14ac:dyDescent="0.25">
      <c r="D11" s="31" t="s">
        <v>59</v>
      </c>
      <c r="E11" s="33">
        <v>0.23400000000000001</v>
      </c>
      <c r="F11" s="33">
        <v>2.9000000000000001E-2</v>
      </c>
      <c r="G11" s="33">
        <v>0.122</v>
      </c>
      <c r="H11" s="33">
        <v>0.27100000000000002</v>
      </c>
      <c r="I11" s="33">
        <v>0.34300000000000003</v>
      </c>
      <c r="J11" s="34">
        <f t="shared" si="0"/>
        <v>0.76500000000000012</v>
      </c>
      <c r="K11" s="34"/>
    </row>
    <row r="12" spans="4:11" x14ac:dyDescent="0.25">
      <c r="D12" s="31" t="s">
        <v>60</v>
      </c>
      <c r="E12" s="33">
        <v>9.6000000000000002E-2</v>
      </c>
      <c r="F12" s="33">
        <v>9.4E-2</v>
      </c>
      <c r="G12" s="33">
        <v>0.32100000000000001</v>
      </c>
      <c r="H12" s="33">
        <v>0.313</v>
      </c>
      <c r="I12" s="33">
        <v>0.17499999999999999</v>
      </c>
      <c r="J12" s="34">
        <f t="shared" si="0"/>
        <v>0.90299999999999991</v>
      </c>
      <c r="K12" s="34"/>
    </row>
    <row r="13" spans="4:11" x14ac:dyDescent="0.25">
      <c r="D13" s="31" t="s">
        <v>61</v>
      </c>
      <c r="E13" s="33">
        <v>0.14399999999999999</v>
      </c>
      <c r="F13" s="33">
        <v>0.23400000000000001</v>
      </c>
      <c r="G13" s="33">
        <v>0.33800000000000002</v>
      </c>
      <c r="H13" s="33">
        <v>9.0999999999999998E-2</v>
      </c>
      <c r="I13" s="33">
        <v>0.193</v>
      </c>
      <c r="J13" s="34">
        <f t="shared" si="0"/>
        <v>0.85600000000000009</v>
      </c>
      <c r="K13" s="34"/>
    </row>
    <row r="15" spans="4:11" x14ac:dyDescent="0.25">
      <c r="D15" s="31" t="s">
        <v>34</v>
      </c>
      <c r="E15" s="33">
        <f>AVERAGE(E8:E13)</f>
        <v>0.21616666666666665</v>
      </c>
      <c r="F15" s="33">
        <f t="shared" ref="F15:I15" si="1">AVERAGE(F8:F13)</f>
        <v>0.13183333333333333</v>
      </c>
      <c r="G15" s="33">
        <f t="shared" si="1"/>
        <v>0.25366666666666671</v>
      </c>
      <c r="H15" s="33">
        <f t="shared" si="1"/>
        <v>0.16766666666666666</v>
      </c>
      <c r="I15" s="33">
        <f t="shared" si="1"/>
        <v>0.23033333333333336</v>
      </c>
    </row>
    <row r="17" spans="7:7" x14ac:dyDescent="0.25">
      <c r="G17" s="35" t="s">
        <v>62</v>
      </c>
    </row>
  </sheetData>
  <mergeCells count="1">
    <mergeCell ref="E6:I6"/>
  </mergeCells>
  <hyperlinks>
    <hyperlink ref="G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29"/>
  <sheetViews>
    <sheetView rightToLeft="1" tabSelected="1" workbookViewId="0">
      <selection activeCell="G12" sqref="G12"/>
    </sheetView>
  </sheetViews>
  <sheetFormatPr defaultColWidth="9.140625" defaultRowHeight="15" x14ac:dyDescent="0.25"/>
  <cols>
    <col min="1" max="1" width="9.140625" style="67"/>
    <col min="2" max="2" width="57.5703125" style="67" bestFit="1" customWidth="1"/>
    <col min="3" max="3" width="15.28515625" style="67" bestFit="1" customWidth="1"/>
    <col min="4" max="16384" width="9.140625" style="67"/>
  </cols>
  <sheetData>
    <row r="1" spans="2:3" ht="15.75" thickBot="1" x14ac:dyDescent="0.3"/>
    <row r="2" spans="2:3" x14ac:dyDescent="0.25">
      <c r="B2" s="68" t="s">
        <v>0</v>
      </c>
      <c r="C2" s="69" t="s">
        <v>73</v>
      </c>
    </row>
    <row r="3" spans="2:3" x14ac:dyDescent="0.25">
      <c r="B3" s="70">
        <v>18000</v>
      </c>
      <c r="C3" s="71">
        <v>700</v>
      </c>
    </row>
    <row r="4" spans="2:3" x14ac:dyDescent="0.25">
      <c r="B4" s="70">
        <v>100000</v>
      </c>
      <c r="C4" s="71">
        <v>1875</v>
      </c>
    </row>
    <row r="5" spans="2:3" x14ac:dyDescent="0.25">
      <c r="B5" s="70">
        <v>200000</v>
      </c>
      <c r="C5" s="71">
        <v>3025</v>
      </c>
    </row>
    <row r="6" spans="2:3" x14ac:dyDescent="0.25">
      <c r="B6" s="70">
        <v>300000</v>
      </c>
      <c r="C6" s="71"/>
    </row>
    <row r="7" spans="2:3" x14ac:dyDescent="0.25">
      <c r="B7" s="70">
        <v>1500000</v>
      </c>
      <c r="C7" s="72"/>
    </row>
    <row r="8" spans="2:3" ht="15.75" thickBot="1" x14ac:dyDescent="0.3">
      <c r="B8" s="73">
        <v>20000000</v>
      </c>
      <c r="C8" s="74"/>
    </row>
    <row r="9" spans="2:3" ht="15.75" thickBot="1" x14ac:dyDescent="0.3">
      <c r="B9" s="75"/>
      <c r="C9" s="76"/>
    </row>
    <row r="10" spans="2:3" x14ac:dyDescent="0.25">
      <c r="B10" s="68" t="s">
        <v>77</v>
      </c>
      <c r="C10" s="69" t="s">
        <v>78</v>
      </c>
    </row>
    <row r="11" spans="2:3" x14ac:dyDescent="0.25">
      <c r="B11" s="77">
        <v>0.4</v>
      </c>
      <c r="C11" s="72">
        <v>0.1</v>
      </c>
    </row>
    <row r="12" spans="2:3" x14ac:dyDescent="0.25">
      <c r="B12" s="77">
        <v>0.6</v>
      </c>
      <c r="C12" s="72">
        <v>0.2</v>
      </c>
    </row>
    <row r="13" spans="2:3" x14ac:dyDescent="0.25">
      <c r="B13" s="77">
        <v>0.8</v>
      </c>
      <c r="C13" s="72">
        <v>0.35</v>
      </c>
    </row>
    <row r="14" spans="2:3" ht="15.75" thickBot="1" x14ac:dyDescent="0.3">
      <c r="B14" s="78">
        <v>1</v>
      </c>
      <c r="C14" s="74">
        <v>0.5</v>
      </c>
    </row>
    <row r="15" spans="2:3" x14ac:dyDescent="0.25">
      <c r="B15" s="85"/>
      <c r="C15" s="85"/>
    </row>
    <row r="16" spans="2:3" x14ac:dyDescent="0.25">
      <c r="B16" s="85"/>
      <c r="C16" s="85"/>
    </row>
    <row r="17" spans="2:3" ht="15.75" thickBot="1" x14ac:dyDescent="0.3">
      <c r="B17" s="86" t="s">
        <v>80</v>
      </c>
    </row>
    <row r="18" spans="2:3" x14ac:dyDescent="0.25">
      <c r="B18" s="68"/>
      <c r="C18" s="69" t="s">
        <v>82</v>
      </c>
    </row>
    <row r="19" spans="2:3" x14ac:dyDescent="0.25">
      <c r="B19" s="77" t="s">
        <v>20</v>
      </c>
      <c r="C19" s="79"/>
    </row>
    <row r="20" spans="2:3" x14ac:dyDescent="0.25">
      <c r="B20" s="77" t="s">
        <v>75</v>
      </c>
      <c r="C20" s="79"/>
    </row>
    <row r="21" spans="2:3" x14ac:dyDescent="0.25">
      <c r="B21" s="77" t="s">
        <v>72</v>
      </c>
      <c r="C21" s="79"/>
    </row>
    <row r="22" spans="2:3" x14ac:dyDescent="0.25">
      <c r="B22" s="77" t="s">
        <v>74</v>
      </c>
      <c r="C22" s="79"/>
    </row>
    <row r="23" spans="2:3" ht="15.75" thickBot="1" x14ac:dyDescent="0.3">
      <c r="B23" s="78" t="s">
        <v>76</v>
      </c>
      <c r="C23" s="80"/>
    </row>
    <row r="25" spans="2:3" x14ac:dyDescent="0.25">
      <c r="B25" s="76" t="s">
        <v>29</v>
      </c>
      <c r="C25" s="81" t="str">
        <f>IF(C19&gt;$B$6,C20/C19*0.9+C23*6/C19,"")</f>
        <v/>
      </c>
    </row>
    <row r="26" spans="2:3" x14ac:dyDescent="0.25">
      <c r="B26" s="76" t="s">
        <v>30</v>
      </c>
      <c r="C26" s="76" t="str">
        <f>IF($C$19&gt;$B$6,IF($C$19&lt;B7,0.3,IF(1-C25&gt;0.3,0.3,1-C25)),"")</f>
        <v/>
      </c>
    </row>
    <row r="27" spans="2:3" hidden="1" x14ac:dyDescent="0.25">
      <c r="B27" s="76" t="s">
        <v>79</v>
      </c>
      <c r="C27" s="82" t="str">
        <f>IFERROR(IF(OR($C$19&lt;=$B$3,$C$19&gt;$B$8,1-$C$22/$C$21&lt;0.25),"לא זכאי למענק",IF(OR(ISBLANK($C$19),ISBLANK($C$21),ISBLANK($C$22)),"",IF(C19&lt;=$B$6,VLOOKUP($C$19,$B$3:$C$5,2),IF(1-$C$22/$C$21&lt;=B11,C11*$C$21*$C$26,IF(1-$C$22/$C$21&lt;=B12,C12*$C$21*$C$26,IF(1-$C$22/$C$21&lt;=B13,C13*$C$21*$C$26,C14*$C$21*$C$26)))))),"")</f>
        <v/>
      </c>
    </row>
    <row r="28" spans="2:3" x14ac:dyDescent="0.25">
      <c r="B28" s="76"/>
      <c r="C28" s="82"/>
    </row>
    <row r="29" spans="2:3" ht="17.25" x14ac:dyDescent="0.4">
      <c r="B29" s="83" t="s">
        <v>81</v>
      </c>
      <c r="C29" s="84" t="str">
        <f>IF(ISNUMBER(C27),IF(C27&gt;400000,400000,C27),C27)</f>
        <v/>
      </c>
    </row>
  </sheetData>
  <sheetProtection algorithmName="SHA-512" hashValue="zxlcvv4r/B9nfD5NsHv9XFND8bnHiOHo6aqcWyJsbbu3Aj9BmA/+Nsk5HPykLR4D5KUpy94hvkRL1m1yJbHR9Q==" saltValue="iXaAa4OhIBnD5FUSWaVBpQ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עידו בנשלום</dc:creator>
  <cp:lastModifiedBy>Yael Sankin - Chamber Of Commerce</cp:lastModifiedBy>
  <dcterms:created xsi:type="dcterms:W3CDTF">2015-06-05T18:19:34Z</dcterms:created>
  <dcterms:modified xsi:type="dcterms:W3CDTF">2020-05-05T11:47:54Z</dcterms:modified>
</cp:coreProperties>
</file>